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</sheets>
  <definedNames/>
  <calcPr fullCalcOnLoad="1"/>
</workbook>
</file>

<file path=xl/sharedStrings.xml><?xml version="1.0" encoding="utf-8"?>
<sst xmlns="http://schemas.openxmlformats.org/spreadsheetml/2006/main" count="762" uniqueCount="195">
  <si>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</si>
  <si>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</si>
  <si>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</si>
  <si>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</si>
  <si>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</si>
  <si>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</si>
  <si>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</si>
  <si>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</si>
  <si>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</si>
  <si>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</si>
  <si>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</si>
  <si>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</si>
  <si>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</si>
  <si>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</si>
  <si>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</si>
  <si>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</si>
  <si>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</si>
  <si>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</si>
  <si>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</si>
  <si>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</si>
  <si>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</si>
  <si>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</si>
  <si>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</si>
  <si>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</si>
  <si>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</si>
  <si>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</si>
  <si>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</si>
  <si>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</si>
  <si>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</si>
  <si>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</si>
  <si>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</si>
  <si>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</si>
  <si>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</si>
  <si>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</si>
  <si>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</si>
  <si>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</si>
  <si>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</si>
  <si>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</si>
  <si>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</si>
  <si>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</si>
  <si>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</si>
  <si>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</si>
  <si>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</si>
  <si>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</si>
  <si>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</si>
  <si>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</si>
  <si>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</si>
  <si>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</si>
  <si>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</si>
  <si>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</si>
  <si>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</si>
  <si>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</si>
  <si>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</si>
  <si>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</si>
  <si>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</si>
  <si>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</si>
  <si>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</si>
  <si>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</si>
  <si>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</si>
  <si>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</si>
  <si>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</si>
  <si>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</si>
  <si>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</si>
  <si>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</si>
  <si>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</si>
  <si>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</si>
  <si>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</si>
  <si>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</si>
  <si>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</si>
  <si>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</si>
  <si>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</si>
  <si>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</si>
  <si>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</si>
  <si>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</si>
  <si>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</si>
  <si>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</si>
  <si>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</si>
  <si>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</si>
  <si>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</si>
  <si>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</si>
  <si>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</si>
  <si>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</si>
  <si>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</si>
  <si>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</si>
  <si>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</si>
  <si>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</si>
  <si>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</si>
  <si>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</si>
  <si>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</si>
  <si>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</si>
  <si>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</si>
  <si>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</si>
  <si>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</si>
  <si>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</si>
  <si>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</si>
  <si>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</si>
  <si>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</si>
  <si>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</si>
  <si>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</si>
  <si>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</si>
  <si>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</si>
  <si>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</si>
  <si>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</si>
  <si>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</si>
  <si>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</si>
  <si>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</si>
  <si>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</si>
  <si>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</si>
  <si>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</si>
  <si>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</si>
  <si>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</si>
  <si>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</si>
  <si>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</si>
  <si>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</si>
  <si>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</si>
  <si>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</si>
  <si>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</si>
  <si>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</si>
  <si>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</si>
  <si>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</si>
  <si>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</si>
  <si>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</si>
  <si>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</si>
  <si>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</si>
  <si>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</si>
  <si>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</si>
  <si>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</si>
  <si>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</si>
  <si>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</si>
  <si>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</si>
  <si>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</si>
  <si>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</si>
  <si>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</si>
  <si>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</si>
  <si>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</si>
  <si>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</si>
  <si>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</si>
  <si>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</si>
  <si>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</si>
  <si>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</si>
  <si>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</si>
  <si>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</si>
  <si>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</si>
  <si>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</si>
  <si>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</si>
  <si>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</si>
  <si>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</si>
  <si>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</si>
  <si>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</si>
  <si>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</si>
  <si>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</si>
  <si>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</si>
  <si>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</si>
  <si>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</si>
  <si>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</si>
  <si>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</si>
  <si>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</si>
  <si>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</si>
  <si>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</si>
  <si>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</si>
  <si>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</si>
  <si>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</si>
  <si>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</si>
  <si>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</si>
  <si>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</si>
  <si>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</si>
  <si>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</si>
  <si>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</si>
  <si>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</si>
  <si>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</si>
  <si>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</si>
  <si>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</si>
  <si>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</si>
  <si>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</si>
  <si>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</si>
  <si>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</si>
  <si>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</si>
  <si>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</si>
  <si>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</si>
  <si>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</si>
  <si>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</si>
  <si>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</si>
  <si>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</si>
  <si>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</si>
  <si>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</si>
  <si>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</si>
  <si>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</si>
  <si>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</si>
  <si>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</si>
  <si>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</si>
  <si>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</si>
  <si>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</si>
  <si>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зарахавувалось і пальне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</si>
  <si>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</si>
  <si>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16.05.17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</si>
</sst>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3" t="s">
        <v>193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5"/>
      <c r="T1" s="85"/>
      <c r="U1" s="86"/>
    </row>
    <row r="2" spans="2:21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188</v>
      </c>
      <c r="O3" s="324" t="s">
        <v>189</v>
      </c>
      <c r="P3" s="324"/>
      <c r="Q3" s="324"/>
      <c r="R3" s="324"/>
      <c r="S3" s="324"/>
      <c r="T3" s="324"/>
      <c r="U3" s="324"/>
    </row>
    <row r="4" spans="1:21" ht="22.5" customHeight="1">
      <c r="A4" s="315"/>
      <c r="B4" s="317"/>
      <c r="C4" s="318"/>
      <c r="D4" s="319"/>
      <c r="E4" s="325" t="s">
        <v>185</v>
      </c>
      <c r="F4" s="307" t="s">
        <v>33</v>
      </c>
      <c r="G4" s="297" t="s">
        <v>186</v>
      </c>
      <c r="H4" s="309" t="s">
        <v>187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194</v>
      </c>
      <c r="P4" s="297" t="s">
        <v>49</v>
      </c>
      <c r="Q4" s="29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191</v>
      </c>
      <c r="L5" s="301"/>
      <c r="M5" s="302"/>
      <c r="N5" s="310"/>
      <c r="O5" s="312"/>
      <c r="P5" s="298"/>
      <c r="Q5" s="299"/>
      <c r="R5" s="303" t="s">
        <v>190</v>
      </c>
      <c r="S5" s="304"/>
      <c r="T5" s="305" t="s">
        <v>181</v>
      </c>
      <c r="U5" s="30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504703.6</v>
      </c>
      <c r="F8" s="149">
        <f>F9+F15+F18+F19+F23+F40</f>
        <v>446783.67</v>
      </c>
      <c r="G8" s="149">
        <f aca="true" t="shared" si="0" ref="G8:G40">F8-E8</f>
        <v>-57919.92999999999</v>
      </c>
      <c r="H8" s="150">
        <f>F8/E8*100</f>
        <v>88.52397129721285</v>
      </c>
      <c r="I8" s="151">
        <f>F8-D8</f>
        <v>-851667.4300000002</v>
      </c>
      <c r="J8" s="151">
        <f>F8/D8*100</f>
        <v>34.4089715816021</v>
      </c>
      <c r="K8" s="149">
        <v>374994.96</v>
      </c>
      <c r="L8" s="149">
        <f aca="true" t="shared" si="1" ref="L8:L54">F8-K8</f>
        <v>71788.70999999996</v>
      </c>
      <c r="M8" s="203">
        <f aca="true" t="shared" si="2" ref="M8:M31">F8/K8</f>
        <v>1.1914391329419467</v>
      </c>
      <c r="N8" s="149">
        <f>N9+N15+N18+N19+N23+N17</f>
        <v>106726.09999999998</v>
      </c>
      <c r="O8" s="149">
        <f>O9+O15+O18+O19+O23+O17</f>
        <v>46471.41399999999</v>
      </c>
      <c r="P8" s="149">
        <f>O8-N8</f>
        <v>-60254.68599999999</v>
      </c>
      <c r="Q8" s="149">
        <f>O8/N8*100</f>
        <v>43.542689182870916</v>
      </c>
      <c r="R8" s="15">
        <f>R9+R15+R18+R19+R23</f>
        <v>104639</v>
      </c>
      <c r="S8" s="15">
        <f>O8-R8</f>
        <v>-58167.58600000001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250656.67</v>
      </c>
      <c r="G9" s="148">
        <f t="shared" si="0"/>
        <v>-28183.329999999987</v>
      </c>
      <c r="H9" s="155">
        <f>F9/E9*100</f>
        <v>89.89265169989959</v>
      </c>
      <c r="I9" s="156">
        <f>F9-D9</f>
        <v>-515988.32999999996</v>
      </c>
      <c r="J9" s="156">
        <f>F9/D9*100</f>
        <v>32.69527225769424</v>
      </c>
      <c r="K9" s="225">
        <v>199100.92</v>
      </c>
      <c r="L9" s="157">
        <f t="shared" si="1"/>
        <v>51555.75</v>
      </c>
      <c r="M9" s="204">
        <f t="shared" si="2"/>
        <v>1.258942801469727</v>
      </c>
      <c r="N9" s="155">
        <f>E9-квітень!E9</f>
        <v>57980</v>
      </c>
      <c r="O9" s="158">
        <f>F9-квітень!F9</f>
        <v>27560.568</v>
      </c>
      <c r="P9" s="159">
        <f>O9-N9</f>
        <v>-30419.432</v>
      </c>
      <c r="Q9" s="156">
        <f>O9/N9*100</f>
        <v>47.53461193515005</v>
      </c>
      <c r="R9" s="99">
        <v>57980</v>
      </c>
      <c r="S9" s="99">
        <f>O9-R9</f>
        <v>-30419.432</v>
      </c>
      <c r="T9" s="99">
        <f>березень!F9+квітень!R9</f>
        <v>223567.36</v>
      </c>
      <c r="U9" s="99">
        <f>F9-T9</f>
        <v>27089.310000000027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229688.15</v>
      </c>
      <c r="G10" s="102">
        <f t="shared" si="0"/>
        <v>-23471.850000000006</v>
      </c>
      <c r="H10" s="29">
        <f aca="true" t="shared" si="3" ref="H10:H39">F10/E10*100</f>
        <v>90.72845236214252</v>
      </c>
      <c r="I10" s="103">
        <f aca="true" t="shared" si="4" ref="I10:I40">F10-D10</f>
        <v>-471628.85</v>
      </c>
      <c r="J10" s="103">
        <f aca="true" t="shared" si="5" ref="J10:J39">F10/D10*100</f>
        <v>32.75097423846848</v>
      </c>
      <c r="K10" s="105">
        <v>174168.33</v>
      </c>
      <c r="L10" s="105">
        <f t="shared" si="1"/>
        <v>55519.82000000001</v>
      </c>
      <c r="M10" s="205">
        <f t="shared" si="2"/>
        <v>1.3187710417846918</v>
      </c>
      <c r="N10" s="104">
        <f>E10-квітень!E10</f>
        <v>53024</v>
      </c>
      <c r="O10" s="142">
        <f>F10-квітень!F10</f>
        <v>25322.290000000008</v>
      </c>
      <c r="P10" s="105">
        <f aca="true" t="shared" si="6" ref="P10:P40">O10-N10</f>
        <v>-27701.709999999992</v>
      </c>
      <c r="Q10" s="103">
        <f aca="true" t="shared" si="7" ref="Q10:Q27">O10/N10*100</f>
        <v>47.75628017501511</v>
      </c>
      <c r="R10" s="36"/>
      <c r="S10" s="99">
        <f aca="true" t="shared" si="8" ref="S10:S35">O10-R10</f>
        <v>25322.290000000008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13529.53</v>
      </c>
      <c r="G11" s="102">
        <f t="shared" si="0"/>
        <v>-4830.469999999999</v>
      </c>
      <c r="H11" s="29">
        <f t="shared" si="3"/>
        <v>73.69025054466232</v>
      </c>
      <c r="I11" s="103">
        <f t="shared" si="4"/>
        <v>-32976.47</v>
      </c>
      <c r="J11" s="103">
        <f t="shared" si="5"/>
        <v>29.092009633165617</v>
      </c>
      <c r="K11" s="105">
        <v>14679.25</v>
      </c>
      <c r="L11" s="105">
        <f t="shared" si="1"/>
        <v>-1149.7199999999993</v>
      </c>
      <c r="M11" s="205">
        <f t="shared" si="2"/>
        <v>0.9216771974044996</v>
      </c>
      <c r="N11" s="104">
        <f>E11-квітень!E11</f>
        <v>3660</v>
      </c>
      <c r="O11" s="142">
        <f>F11-квітень!F11</f>
        <v>1100.380000000001</v>
      </c>
      <c r="P11" s="105">
        <f t="shared" si="6"/>
        <v>-2559.619999999999</v>
      </c>
      <c r="Q11" s="103">
        <f t="shared" si="7"/>
        <v>30.065027322404397</v>
      </c>
      <c r="R11" s="36"/>
      <c r="S11" s="99">
        <f t="shared" si="8"/>
        <v>1100.380000000001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3206.88</v>
      </c>
      <c r="G12" s="102">
        <f t="shared" si="0"/>
        <v>266.8800000000001</v>
      </c>
      <c r="H12" s="29">
        <f t="shared" si="3"/>
        <v>109.07755102040817</v>
      </c>
      <c r="I12" s="103">
        <f t="shared" si="4"/>
        <v>-5073.12</v>
      </c>
      <c r="J12" s="103">
        <f t="shared" si="5"/>
        <v>38.7304347826087</v>
      </c>
      <c r="K12" s="105">
        <v>4583.23</v>
      </c>
      <c r="L12" s="105">
        <f t="shared" si="1"/>
        <v>-1376.3499999999995</v>
      </c>
      <c r="M12" s="205">
        <f t="shared" si="2"/>
        <v>0.6996986841157874</v>
      </c>
      <c r="N12" s="104">
        <f>E12-квітень!E12</f>
        <v>600</v>
      </c>
      <c r="O12" s="142">
        <f>F12-квітень!F12</f>
        <v>597.29</v>
      </c>
      <c r="P12" s="105">
        <f t="shared" si="6"/>
        <v>-2.7100000000000364</v>
      </c>
      <c r="Q12" s="103">
        <f t="shared" si="7"/>
        <v>99.54833333333333</v>
      </c>
      <c r="R12" s="36"/>
      <c r="S12" s="99">
        <f t="shared" si="8"/>
        <v>597.29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3626.56</v>
      </c>
      <c r="G13" s="102">
        <f t="shared" si="0"/>
        <v>-273.44000000000005</v>
      </c>
      <c r="H13" s="29">
        <f t="shared" si="3"/>
        <v>92.98871794871795</v>
      </c>
      <c r="I13" s="103">
        <f t="shared" si="4"/>
        <v>-5763.4400000000005</v>
      </c>
      <c r="J13" s="103">
        <f t="shared" si="5"/>
        <v>38.62151224707135</v>
      </c>
      <c r="K13" s="105">
        <v>3763.44</v>
      </c>
      <c r="L13" s="105">
        <f t="shared" si="1"/>
        <v>-136.8800000000001</v>
      </c>
      <c r="M13" s="205">
        <f t="shared" si="2"/>
        <v>0.9636290202580617</v>
      </c>
      <c r="N13" s="104">
        <f>E13-квітень!E13</f>
        <v>600</v>
      </c>
      <c r="O13" s="142">
        <f>F13-квітень!F13</f>
        <v>417.23</v>
      </c>
      <c r="P13" s="105">
        <f t="shared" si="6"/>
        <v>-182.76999999999998</v>
      </c>
      <c r="Q13" s="103">
        <f t="shared" si="7"/>
        <v>69.53833333333334</v>
      </c>
      <c r="R13" s="36"/>
      <c r="S13" s="99">
        <f t="shared" si="8"/>
        <v>417.23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605.55</v>
      </c>
      <c r="G14" s="102">
        <f t="shared" si="0"/>
        <v>125.54999999999995</v>
      </c>
      <c r="H14" s="29">
        <f t="shared" si="3"/>
        <v>126.15624999999999</v>
      </c>
      <c r="I14" s="103">
        <f t="shared" si="4"/>
        <v>-546.45</v>
      </c>
      <c r="J14" s="103">
        <f t="shared" si="5"/>
        <v>52.565104166666664</v>
      </c>
      <c r="K14" s="105">
        <v>1906.68</v>
      </c>
      <c r="L14" s="105">
        <f t="shared" si="1"/>
        <v>-1301.13</v>
      </c>
      <c r="M14" s="205">
        <f t="shared" si="2"/>
        <v>0.31759393290956006</v>
      </c>
      <c r="N14" s="104">
        <f>E14-квітень!E14</f>
        <v>96</v>
      </c>
      <c r="O14" s="142">
        <f>F14-квітень!F14</f>
        <v>123.37999999999994</v>
      </c>
      <c r="P14" s="105">
        <f t="shared" si="6"/>
        <v>27.37999999999994</v>
      </c>
      <c r="Q14" s="103">
        <f t="shared" si="7"/>
        <v>128.52083333333326</v>
      </c>
      <c r="R14" s="36"/>
      <c r="S14" s="99">
        <f t="shared" si="8"/>
        <v>123.37999999999994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-57.67</v>
      </c>
      <c r="G15" s="148">
        <f t="shared" si="0"/>
        <v>-398.67</v>
      </c>
      <c r="H15" s="155">
        <f>F15/E15*100</f>
        <v>-16.91202346041056</v>
      </c>
      <c r="I15" s="156">
        <f t="shared" si="4"/>
        <v>-608.67</v>
      </c>
      <c r="J15" s="156">
        <f>F15/D15*100</f>
        <v>-10.466424682395644</v>
      </c>
      <c r="K15" s="159">
        <v>309.24</v>
      </c>
      <c r="L15" s="159">
        <f t="shared" si="1"/>
        <v>-366.91</v>
      </c>
      <c r="M15" s="206">
        <f t="shared" si="2"/>
        <v>-0.18648945802612857</v>
      </c>
      <c r="N15" s="162">
        <f>E15-квітень!E15</f>
        <v>170</v>
      </c>
      <c r="O15" s="166">
        <f>F15-квітень!F15</f>
        <v>258.69</v>
      </c>
      <c r="P15" s="159">
        <f t="shared" si="6"/>
        <v>88.69</v>
      </c>
      <c r="Q15" s="156"/>
      <c r="R15" s="36">
        <v>150</v>
      </c>
      <c r="S15" s="99">
        <f t="shared" si="8"/>
        <v>108.69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E17-квітень!E17</f>
        <v>0</v>
      </c>
      <c r="O17" s="166">
        <f>F17-квітень!F17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38505.05</v>
      </c>
      <c r="G19" s="160">
        <f t="shared" si="0"/>
        <v>-9894.949999999997</v>
      </c>
      <c r="H19" s="162">
        <f t="shared" si="3"/>
        <v>79.55588842975207</v>
      </c>
      <c r="I19" s="163">
        <f t="shared" si="4"/>
        <v>-91494.95</v>
      </c>
      <c r="J19" s="163">
        <f t="shared" si="5"/>
        <v>29.619269230769234</v>
      </c>
      <c r="K19" s="159">
        <v>35230.56</v>
      </c>
      <c r="L19" s="165">
        <f t="shared" si="1"/>
        <v>3274.4900000000052</v>
      </c>
      <c r="M19" s="211">
        <f t="shared" si="2"/>
        <v>1.0929445912866558</v>
      </c>
      <c r="N19" s="162">
        <f>E19-квітень!E19</f>
        <v>10500</v>
      </c>
      <c r="O19" s="166">
        <f>F19-квітень!F19</f>
        <v>2400.286</v>
      </c>
      <c r="P19" s="165">
        <f t="shared" si="6"/>
        <v>-8099.714</v>
      </c>
      <c r="Q19" s="163">
        <f t="shared" si="7"/>
        <v>22.85986666666667</v>
      </c>
      <c r="R19" s="36">
        <v>9450</v>
      </c>
      <c r="S19" s="99">
        <f t="shared" si="8"/>
        <v>-7049.714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22317.29</v>
      </c>
      <c r="G20" s="250">
        <f t="shared" si="0"/>
        <v>-7332.709999999999</v>
      </c>
      <c r="H20" s="193">
        <f t="shared" si="3"/>
        <v>75.26910623946037</v>
      </c>
      <c r="I20" s="251">
        <f t="shared" si="4"/>
        <v>-54182.71</v>
      </c>
      <c r="J20" s="251">
        <f t="shared" si="5"/>
        <v>29.172928104575163</v>
      </c>
      <c r="K20" s="252">
        <v>35230.56</v>
      </c>
      <c r="L20" s="164">
        <f t="shared" si="1"/>
        <v>-12913.269999999997</v>
      </c>
      <c r="M20" s="253">
        <f t="shared" si="2"/>
        <v>0.6334639585632474</v>
      </c>
      <c r="N20" s="193">
        <f>E20-квітень!E20</f>
        <v>5750</v>
      </c>
      <c r="O20" s="177">
        <f>F20-квітень!F20</f>
        <v>337.7099999999991</v>
      </c>
      <c r="P20" s="164">
        <f t="shared" si="6"/>
        <v>-5412.290000000001</v>
      </c>
      <c r="Q20" s="251">
        <f t="shared" si="7"/>
        <v>5.873217391304332</v>
      </c>
      <c r="R20" s="106">
        <v>4450</v>
      </c>
      <c r="S20" s="99">
        <f t="shared" si="8"/>
        <v>-4112.290000000001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3289.51</v>
      </c>
      <c r="G21" s="250">
        <f t="shared" si="0"/>
        <v>-660.4899999999998</v>
      </c>
      <c r="H21" s="193"/>
      <c r="I21" s="251">
        <f t="shared" si="4"/>
        <v>-7410.49</v>
      </c>
      <c r="J21" s="251">
        <f t="shared" si="5"/>
        <v>30.743084112149532</v>
      </c>
      <c r="K21" s="252">
        <v>0</v>
      </c>
      <c r="L21" s="164">
        <f t="shared" si="1"/>
        <v>3289.51</v>
      </c>
      <c r="M21" s="253"/>
      <c r="N21" s="193">
        <f>E21-квітень!E21</f>
        <v>950</v>
      </c>
      <c r="O21" s="177">
        <f>F21-квітень!F21</f>
        <v>170.57000000000016</v>
      </c>
      <c r="P21" s="164">
        <f t="shared" si="6"/>
        <v>-779.4299999999998</v>
      </c>
      <c r="Q21" s="251"/>
      <c r="R21" s="106">
        <v>1000</v>
      </c>
      <c r="S21" s="99">
        <f t="shared" si="8"/>
        <v>-829.4299999999998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12898.26</v>
      </c>
      <c r="G22" s="250">
        <f t="shared" si="0"/>
        <v>-1901.7399999999998</v>
      </c>
      <c r="H22" s="193"/>
      <c r="I22" s="251">
        <f t="shared" si="4"/>
        <v>-29901.739999999998</v>
      </c>
      <c r="J22" s="251">
        <f t="shared" si="5"/>
        <v>30.1361214953271</v>
      </c>
      <c r="K22" s="252">
        <v>0</v>
      </c>
      <c r="L22" s="164">
        <f t="shared" si="1"/>
        <v>12898.26</v>
      </c>
      <c r="M22" s="253"/>
      <c r="N22" s="193">
        <f>E22-квітень!E22</f>
        <v>3800</v>
      </c>
      <c r="O22" s="177">
        <f>F22-квітень!F22</f>
        <v>1892.0200000000004</v>
      </c>
      <c r="P22" s="164">
        <f t="shared" si="6"/>
        <v>-1907.9799999999996</v>
      </c>
      <c r="Q22" s="251"/>
      <c r="R22" s="106">
        <v>4000</v>
      </c>
      <c r="S22" s="99">
        <f t="shared" si="8"/>
        <v>-2107.9799999999996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157561.15999999997</v>
      </c>
      <c r="G23" s="148">
        <f t="shared" si="0"/>
        <v>-19491.440000000002</v>
      </c>
      <c r="H23" s="155">
        <f t="shared" si="3"/>
        <v>88.99115855965967</v>
      </c>
      <c r="I23" s="156">
        <f t="shared" si="4"/>
        <v>-243568.94</v>
      </c>
      <c r="J23" s="156">
        <f t="shared" si="5"/>
        <v>39.279316112154135</v>
      </c>
      <c r="K23" s="156">
        <v>140248.27</v>
      </c>
      <c r="L23" s="159">
        <f t="shared" si="1"/>
        <v>17312.889999999985</v>
      </c>
      <c r="M23" s="207">
        <f t="shared" si="2"/>
        <v>1.123444588656958</v>
      </c>
      <c r="N23" s="155">
        <f>E23-квітень!E23</f>
        <v>38076.09999999998</v>
      </c>
      <c r="O23" s="158">
        <f>F23-квітень!F23</f>
        <v>16251.869999999995</v>
      </c>
      <c r="P23" s="159">
        <f t="shared" si="6"/>
        <v>-21824.22999999998</v>
      </c>
      <c r="Q23" s="156">
        <f t="shared" si="7"/>
        <v>42.68260142188934</v>
      </c>
      <c r="R23" s="280">
        <f>R24+R32+R33+R34+R35</f>
        <v>37059</v>
      </c>
      <c r="S23" s="99">
        <f t="shared" si="8"/>
        <v>-20807.130000000005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69936.81</v>
      </c>
      <c r="G24" s="148">
        <f t="shared" si="0"/>
        <v>-12771.089999999997</v>
      </c>
      <c r="H24" s="155">
        <f t="shared" si="3"/>
        <v>84.55880272622083</v>
      </c>
      <c r="I24" s="156">
        <f t="shared" si="4"/>
        <v>-136684.19</v>
      </c>
      <c r="J24" s="156">
        <f t="shared" si="5"/>
        <v>33.84787122315737</v>
      </c>
      <c r="K24" s="156">
        <v>71540.14</v>
      </c>
      <c r="L24" s="159">
        <f t="shared" si="1"/>
        <v>-1603.3300000000017</v>
      </c>
      <c r="M24" s="207">
        <f t="shared" si="2"/>
        <v>0.9775883860445339</v>
      </c>
      <c r="N24" s="155">
        <f>E24-квітень!E24</f>
        <v>15364.099999999991</v>
      </c>
      <c r="O24" s="158">
        <f>F24-квітень!F24</f>
        <v>2259.8199999999924</v>
      </c>
      <c r="P24" s="159">
        <f t="shared" si="6"/>
        <v>-13104.279999999999</v>
      </c>
      <c r="Q24" s="156">
        <f t="shared" si="7"/>
        <v>14.708443709686827</v>
      </c>
      <c r="R24" s="106">
        <f>R25+R28+R29</f>
        <v>14352</v>
      </c>
      <c r="S24" s="99">
        <f t="shared" si="8"/>
        <v>-12092.180000000008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9897.07</v>
      </c>
      <c r="G25" s="169">
        <f t="shared" si="0"/>
        <v>312.96999999999935</v>
      </c>
      <c r="H25" s="171">
        <f t="shared" si="3"/>
        <v>103.2655126720297</v>
      </c>
      <c r="I25" s="172">
        <f t="shared" si="4"/>
        <v>-12911.93</v>
      </c>
      <c r="J25" s="172">
        <f t="shared" si="5"/>
        <v>43.391073698978474</v>
      </c>
      <c r="K25" s="173">
        <v>8640.15</v>
      </c>
      <c r="L25" s="164">
        <f t="shared" si="1"/>
        <v>1256.92</v>
      </c>
      <c r="M25" s="213">
        <f t="shared" si="2"/>
        <v>1.14547432625591</v>
      </c>
      <c r="N25" s="155">
        <f>E25-квітень!E25</f>
        <v>254.10000000000036</v>
      </c>
      <c r="O25" s="158">
        <f>F25-квітень!F25</f>
        <v>150.76000000000022</v>
      </c>
      <c r="P25" s="175">
        <f t="shared" si="6"/>
        <v>-103.34000000000015</v>
      </c>
      <c r="Q25" s="172">
        <f t="shared" si="7"/>
        <v>59.33097205824479</v>
      </c>
      <c r="R25" s="106">
        <v>347</v>
      </c>
      <c r="S25" s="99">
        <f t="shared" si="8"/>
        <v>-196.23999999999978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202.97</v>
      </c>
      <c r="G26" s="196">
        <f t="shared" si="0"/>
        <v>-402.03</v>
      </c>
      <c r="H26" s="197">
        <f t="shared" si="3"/>
        <v>33.54876033057852</v>
      </c>
      <c r="I26" s="198">
        <f t="shared" si="4"/>
        <v>-1619.33</v>
      </c>
      <c r="J26" s="198">
        <f t="shared" si="5"/>
        <v>11.138122153322724</v>
      </c>
      <c r="K26" s="198">
        <v>263.65</v>
      </c>
      <c r="L26" s="198">
        <f t="shared" si="1"/>
        <v>-60.67999999999998</v>
      </c>
      <c r="M26" s="226">
        <f t="shared" si="2"/>
        <v>0.7698463872558317</v>
      </c>
      <c r="N26" s="234">
        <f>E26-квітень!E26</f>
        <v>55</v>
      </c>
      <c r="O26" s="234">
        <f>F26-квітень!F26</f>
        <v>2.7299999999999898</v>
      </c>
      <c r="P26" s="198">
        <f t="shared" si="6"/>
        <v>-52.27000000000001</v>
      </c>
      <c r="Q26" s="198">
        <f t="shared" si="7"/>
        <v>4.963636363636345</v>
      </c>
      <c r="R26" s="106"/>
      <c r="S26" s="99">
        <f t="shared" si="8"/>
        <v>2.7299999999999898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9694.1</v>
      </c>
      <c r="G27" s="196">
        <f t="shared" si="0"/>
        <v>715</v>
      </c>
      <c r="H27" s="197">
        <f t="shared" si="3"/>
        <v>107.96293615173013</v>
      </c>
      <c r="I27" s="198">
        <f t="shared" si="4"/>
        <v>-11292.6</v>
      </c>
      <c r="J27" s="198">
        <f t="shared" si="5"/>
        <v>46.191635654962425</v>
      </c>
      <c r="K27" s="198">
        <v>8376.5</v>
      </c>
      <c r="L27" s="198">
        <f t="shared" si="1"/>
        <v>1317.6000000000004</v>
      </c>
      <c r="M27" s="226">
        <f t="shared" si="2"/>
        <v>1.1572972005014028</v>
      </c>
      <c r="N27" s="234">
        <f>E27-квітень!E27</f>
        <v>199.10000000000036</v>
      </c>
      <c r="O27" s="234">
        <f>F27-квітень!F27</f>
        <v>148.03000000000065</v>
      </c>
      <c r="P27" s="198">
        <f t="shared" si="6"/>
        <v>-51.06999999999971</v>
      </c>
      <c r="Q27" s="198">
        <f t="shared" si="7"/>
        <v>74.34957307885503</v>
      </c>
      <c r="R27" s="106"/>
      <c r="S27" s="99">
        <f t="shared" si="8"/>
        <v>148.03000000000065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54.52</v>
      </c>
      <c r="G28" s="169">
        <f t="shared" si="0"/>
        <v>-74.28</v>
      </c>
      <c r="H28" s="171">
        <f t="shared" si="3"/>
        <v>42.32919254658385</v>
      </c>
      <c r="I28" s="172">
        <f t="shared" si="4"/>
        <v>-765.48</v>
      </c>
      <c r="J28" s="172">
        <f t="shared" si="5"/>
        <v>6.648780487804879</v>
      </c>
      <c r="K28" s="172">
        <v>420.08</v>
      </c>
      <c r="L28" s="172">
        <f t="shared" si="1"/>
        <v>-365.56</v>
      </c>
      <c r="M28" s="210">
        <f t="shared" si="2"/>
        <v>0.12978480289468675</v>
      </c>
      <c r="N28" s="193">
        <f>E28-квітень!E28</f>
        <v>5.000000000000014</v>
      </c>
      <c r="O28" s="177">
        <f>F28-квітень!F28</f>
        <v>-49.99999999999999</v>
      </c>
      <c r="P28" s="175">
        <f t="shared" si="6"/>
        <v>-55.00000000000001</v>
      </c>
      <c r="Q28" s="172">
        <f>O28/N28*100</f>
        <v>-999.9999999999969</v>
      </c>
      <c r="R28" s="106">
        <v>5</v>
      </c>
      <c r="S28" s="99">
        <f t="shared" si="8"/>
        <v>-54.99999999999999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59985.22</v>
      </c>
      <c r="G29" s="169">
        <f t="shared" si="0"/>
        <v>-13009.779999999999</v>
      </c>
      <c r="H29" s="171">
        <f t="shared" si="3"/>
        <v>82.17716281937119</v>
      </c>
      <c r="I29" s="172">
        <f t="shared" si="4"/>
        <v>-123006.78</v>
      </c>
      <c r="J29" s="172">
        <f t="shared" si="5"/>
        <v>32.78024175920259</v>
      </c>
      <c r="K29" s="173">
        <v>62479.91</v>
      </c>
      <c r="L29" s="173">
        <f t="shared" si="1"/>
        <v>-2494.6900000000023</v>
      </c>
      <c r="M29" s="209">
        <f t="shared" si="2"/>
        <v>0.9600721255840478</v>
      </c>
      <c r="N29" s="193">
        <f>E29-квітень!E29</f>
        <v>15105</v>
      </c>
      <c r="O29" s="177">
        <f>F29-квітень!F29</f>
        <v>2159.0599999999977</v>
      </c>
      <c r="P29" s="175">
        <f t="shared" si="6"/>
        <v>-12945.940000000002</v>
      </c>
      <c r="Q29" s="172">
        <f>O29/N29*100</f>
        <v>14.293677590201902</v>
      </c>
      <c r="R29" s="106">
        <v>14000</v>
      </c>
      <c r="S29" s="99">
        <f t="shared" si="8"/>
        <v>-11840.940000000002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19786.91</v>
      </c>
      <c r="G30" s="196">
        <f t="shared" si="0"/>
        <v>-2293.09</v>
      </c>
      <c r="H30" s="197">
        <f t="shared" si="3"/>
        <v>89.61462862318841</v>
      </c>
      <c r="I30" s="198">
        <f t="shared" si="4"/>
        <v>-37746.09</v>
      </c>
      <c r="J30" s="198">
        <f t="shared" si="5"/>
        <v>34.39227921366867</v>
      </c>
      <c r="K30" s="198">
        <v>19348.56</v>
      </c>
      <c r="L30" s="198">
        <f t="shared" si="1"/>
        <v>438.34999999999854</v>
      </c>
      <c r="M30" s="226">
        <f t="shared" si="2"/>
        <v>1.0226554327557191</v>
      </c>
      <c r="N30" s="234">
        <f>E30-квітень!E30</f>
        <v>4650</v>
      </c>
      <c r="O30" s="234">
        <f>F30-квітень!F30</f>
        <v>482.380000000001</v>
      </c>
      <c r="P30" s="198">
        <f t="shared" si="6"/>
        <v>-4167.619999999999</v>
      </c>
      <c r="Q30" s="198">
        <f>O30/N30*100</f>
        <v>10.373763440860237</v>
      </c>
      <c r="R30" s="106"/>
      <c r="S30" s="99">
        <f t="shared" si="8"/>
        <v>482.380000000001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40198.31</v>
      </c>
      <c r="G31" s="196">
        <f t="shared" si="0"/>
        <v>-10716.690000000002</v>
      </c>
      <c r="H31" s="197">
        <f t="shared" si="3"/>
        <v>78.95180202297946</v>
      </c>
      <c r="I31" s="198">
        <f t="shared" si="4"/>
        <v>-85260.69</v>
      </c>
      <c r="J31" s="198">
        <f t="shared" si="5"/>
        <v>32.04099347197092</v>
      </c>
      <c r="K31" s="198">
        <v>43131.35</v>
      </c>
      <c r="L31" s="198">
        <f t="shared" si="1"/>
        <v>-2933.040000000001</v>
      </c>
      <c r="M31" s="226">
        <f t="shared" si="2"/>
        <v>0.9319974913838773</v>
      </c>
      <c r="N31" s="234">
        <f>E31-квітень!E31</f>
        <v>10455</v>
      </c>
      <c r="O31" s="234">
        <f>F31-квітень!F31</f>
        <v>1676.6800000000003</v>
      </c>
      <c r="P31" s="198">
        <f t="shared" si="6"/>
        <v>-8778.32</v>
      </c>
      <c r="Q31" s="198">
        <f>O31/N31*100</f>
        <v>16.03711142993783</v>
      </c>
      <c r="R31" s="106"/>
      <c r="S31" s="99">
        <f t="shared" si="8"/>
        <v>1676.6800000000003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61.95</v>
      </c>
      <c r="G33" s="148">
        <f t="shared" si="0"/>
        <v>22.950000000000003</v>
      </c>
      <c r="H33" s="155">
        <f t="shared" si="3"/>
        <v>158.84615384615387</v>
      </c>
      <c r="I33" s="156">
        <f t="shared" si="4"/>
        <v>-53.05</v>
      </c>
      <c r="J33" s="156">
        <f t="shared" si="5"/>
        <v>53.869565217391305</v>
      </c>
      <c r="K33" s="156">
        <v>51.14</v>
      </c>
      <c r="L33" s="156">
        <f t="shared" si="1"/>
        <v>10.810000000000002</v>
      </c>
      <c r="M33" s="208">
        <f>F33/K33</f>
        <v>1.211380524051623</v>
      </c>
      <c r="N33" s="155">
        <f>E33-квітень!E33</f>
        <v>12</v>
      </c>
      <c r="O33" s="158">
        <f>F33-квітень!F33</f>
        <v>9.540000000000006</v>
      </c>
      <c r="P33" s="159">
        <f t="shared" si="6"/>
        <v>-2.4599999999999937</v>
      </c>
      <c r="Q33" s="156">
        <f>O33/N33*100</f>
        <v>79.50000000000004</v>
      </c>
      <c r="R33" s="106">
        <v>7</v>
      </c>
      <c r="S33" s="99">
        <f t="shared" si="8"/>
        <v>2.5400000000000063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87588.97</v>
      </c>
      <c r="G35" s="160">
        <f t="shared" si="0"/>
        <v>-6716.729999999996</v>
      </c>
      <c r="H35" s="162">
        <f t="shared" si="3"/>
        <v>92.87770516522332</v>
      </c>
      <c r="I35" s="163">
        <f t="shared" si="4"/>
        <v>-106805.13</v>
      </c>
      <c r="J35" s="163">
        <f t="shared" si="5"/>
        <v>45.05742201023591</v>
      </c>
      <c r="K35" s="176">
        <v>68766.7</v>
      </c>
      <c r="L35" s="176">
        <f>F35-K35</f>
        <v>18822.270000000004</v>
      </c>
      <c r="M35" s="224">
        <f>F35/K35</f>
        <v>1.2737119855976804</v>
      </c>
      <c r="N35" s="155">
        <f>E35-квітень!E35</f>
        <v>22700</v>
      </c>
      <c r="O35" s="158">
        <f>F35-квітень!F35</f>
        <v>13981.930000000008</v>
      </c>
      <c r="P35" s="165">
        <f t="shared" si="6"/>
        <v>-8718.069999999992</v>
      </c>
      <c r="Q35" s="163">
        <f>O35/N35*100</f>
        <v>61.594405286343644</v>
      </c>
      <c r="R35" s="106">
        <v>22700</v>
      </c>
      <c r="S35" s="99">
        <f t="shared" si="8"/>
        <v>-8718.069999999992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E36-квітень!E36</f>
        <v>0</v>
      </c>
      <c r="O36" s="142">
        <f>F36-квітень!F36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17212.61</v>
      </c>
      <c r="G37" s="102">
        <f t="shared" si="0"/>
        <v>-1707.3899999999994</v>
      </c>
      <c r="H37" s="104">
        <f t="shared" si="3"/>
        <v>90.97573995771671</v>
      </c>
      <c r="I37" s="103">
        <f t="shared" si="4"/>
        <v>-23787.39</v>
      </c>
      <c r="J37" s="103">
        <f t="shared" si="5"/>
        <v>41.9819756097561</v>
      </c>
      <c r="K37" s="126">
        <v>17552.06</v>
      </c>
      <c r="L37" s="126">
        <f t="shared" si="1"/>
        <v>-339.4500000000007</v>
      </c>
      <c r="M37" s="214">
        <f t="shared" si="9"/>
        <v>0.9806603897206367</v>
      </c>
      <c r="N37" s="104">
        <f>E37-квітень!E37</f>
        <v>5700</v>
      </c>
      <c r="O37" s="142">
        <f>F37-квітень!F37</f>
        <v>3214.1900000000005</v>
      </c>
      <c r="P37" s="105">
        <f t="shared" si="6"/>
        <v>-2485.8099999999995</v>
      </c>
      <c r="Q37" s="103">
        <f>O37/N37*100</f>
        <v>56.389298245614036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70353.27</v>
      </c>
      <c r="G38" s="102">
        <f t="shared" si="0"/>
        <v>-5006.729999999996</v>
      </c>
      <c r="H38" s="104">
        <f t="shared" si="3"/>
        <v>93.35625</v>
      </c>
      <c r="I38" s="103">
        <f t="shared" si="4"/>
        <v>-82985.83</v>
      </c>
      <c r="J38" s="103">
        <f t="shared" si="5"/>
        <v>45.8808418726861</v>
      </c>
      <c r="K38" s="126">
        <v>51200.46</v>
      </c>
      <c r="L38" s="126">
        <f t="shared" si="1"/>
        <v>19152.810000000005</v>
      </c>
      <c r="M38" s="214">
        <f t="shared" si="9"/>
        <v>1.374074959482786</v>
      </c>
      <c r="N38" s="104">
        <f>E38-квітень!E38</f>
        <v>17000</v>
      </c>
      <c r="O38" s="142">
        <f>F38-квітень!F38</f>
        <v>10767.750000000007</v>
      </c>
      <c r="P38" s="105">
        <f t="shared" si="6"/>
        <v>-6232.249999999993</v>
      </c>
      <c r="Q38" s="103">
        <f>O38/N38*100</f>
        <v>63.33970588235298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/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</f>
        <v>24183.389999999996</v>
      </c>
      <c r="G41" s="149">
        <f>G42+G43+G44+G45+G46+G48+G50+G51+G52+G53+G54+G59+G60+G64</f>
        <v>-574.1200000000001</v>
      </c>
      <c r="H41" s="150">
        <f>F41/E41*100</f>
        <v>97.52428691833384</v>
      </c>
      <c r="I41" s="151">
        <f>F41-D41</f>
        <v>-34841.61</v>
      </c>
      <c r="J41" s="151">
        <f>F41/D41*100</f>
        <v>40.97143583227446</v>
      </c>
      <c r="K41" s="149">
        <v>22840.42</v>
      </c>
      <c r="L41" s="149">
        <f t="shared" si="1"/>
        <v>1342.9699999999975</v>
      </c>
      <c r="M41" s="203">
        <f t="shared" si="9"/>
        <v>1.0587979555542322</v>
      </c>
      <c r="N41" s="149">
        <f>N42+N43+N44+N45+N46+N48+N50+N51+N52+N53+N54+N59+N60+N64+N47</f>
        <v>5362.8</v>
      </c>
      <c r="O41" s="149">
        <f>O42+O43+O44+O45+O46+O48+O50+O51+O52+O53+O54+O59+O60+O64+O47</f>
        <v>4745.493999999999</v>
      </c>
      <c r="P41" s="149">
        <f>P42+P43+P44+P45+P46+P48+P50+P51+P52+P53+P54+P59+P60+P64</f>
        <v>-610.5060000000008</v>
      </c>
      <c r="Q41" s="149">
        <f>O41/N41*100</f>
        <v>88.489110166331</v>
      </c>
      <c r="R41" s="15">
        <f>R42+R43+R44+R45+R46+R47+R48+R50+R51+R52+R53+R54+R59+R60+R64</f>
        <v>5273.700000000001</v>
      </c>
      <c r="S41" s="15">
        <f>O41-R41</f>
        <v>-528.206000000002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250.93</v>
      </c>
      <c r="G42" s="160">
        <f>F42-E42</f>
        <v>-9.069999999999993</v>
      </c>
      <c r="H42" s="162">
        <f aca="true" t="shared" si="10" ref="H42:H65">F42/E42*100</f>
        <v>96.51153846153846</v>
      </c>
      <c r="I42" s="163">
        <f>F42-D42</f>
        <v>-329.07</v>
      </c>
      <c r="J42" s="163">
        <f>F42/D42*100</f>
        <v>43.26379310344828</v>
      </c>
      <c r="K42" s="163">
        <v>240.17</v>
      </c>
      <c r="L42" s="163">
        <f t="shared" si="1"/>
        <v>10.76000000000002</v>
      </c>
      <c r="M42" s="216">
        <f t="shared" si="9"/>
        <v>1.044801598867469</v>
      </c>
      <c r="N42" s="162">
        <f>E42-квітень!E42</f>
        <v>180</v>
      </c>
      <c r="O42" s="166">
        <f>F42-квітень!F42</f>
        <v>431.79</v>
      </c>
      <c r="P42" s="165">
        <f>O42-N42</f>
        <v>251.79000000000002</v>
      </c>
      <c r="Q42" s="163">
        <f aca="true" t="shared" si="11" ref="Q42:Q65">O42/N42*100</f>
        <v>239.88333333333335</v>
      </c>
      <c r="R42" s="36">
        <v>420</v>
      </c>
      <c r="S42" s="36">
        <f>O42-R42</f>
        <v>11.79000000000002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427.88</v>
      </c>
      <c r="G46" s="160">
        <f t="shared" si="12"/>
        <v>321.88</v>
      </c>
      <c r="H46" s="162">
        <f t="shared" si="10"/>
        <v>403.66037735849056</v>
      </c>
      <c r="I46" s="163">
        <f t="shared" si="13"/>
        <v>167.88</v>
      </c>
      <c r="J46" s="163">
        <f t="shared" si="16"/>
        <v>164.56923076923076</v>
      </c>
      <c r="K46" s="163">
        <v>50.4</v>
      </c>
      <c r="L46" s="163">
        <f t="shared" si="1"/>
        <v>377.48</v>
      </c>
      <c r="M46" s="216">
        <f t="shared" si="17"/>
        <v>8.48968253968254</v>
      </c>
      <c r="N46" s="162">
        <f>E46-квітень!E46</f>
        <v>22</v>
      </c>
      <c r="O46" s="166">
        <f>F46-квітень!F46</f>
        <v>33.39699999999999</v>
      </c>
      <c r="P46" s="165">
        <f t="shared" si="14"/>
        <v>11.396999999999991</v>
      </c>
      <c r="Q46" s="163">
        <f t="shared" si="11"/>
        <v>151.80454545454543</v>
      </c>
      <c r="R46" s="36">
        <v>22</v>
      </c>
      <c r="S46" s="36">
        <f t="shared" si="15"/>
        <v>11.396999999999991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436.6</v>
      </c>
      <c r="G48" s="160">
        <f t="shared" si="12"/>
        <v>36.60000000000002</v>
      </c>
      <c r="H48" s="162">
        <f t="shared" si="10"/>
        <v>109.15000000000002</v>
      </c>
      <c r="I48" s="163">
        <f t="shared" si="13"/>
        <v>-293.4</v>
      </c>
      <c r="J48" s="163">
        <f t="shared" si="16"/>
        <v>59.8082191780822</v>
      </c>
      <c r="K48" s="163">
        <v>76.33</v>
      </c>
      <c r="L48" s="163">
        <f t="shared" si="1"/>
        <v>360.27000000000004</v>
      </c>
      <c r="M48" s="216"/>
      <c r="N48" s="162">
        <f>E48-квітень!E48</f>
        <v>60</v>
      </c>
      <c r="O48" s="166">
        <f>F48-квітень!F48</f>
        <v>43.129999999999995</v>
      </c>
      <c r="P48" s="165">
        <f t="shared" si="14"/>
        <v>-16.870000000000005</v>
      </c>
      <c r="Q48" s="163">
        <f t="shared" si="11"/>
        <v>71.88333333333333</v>
      </c>
      <c r="R48" s="36">
        <v>60</v>
      </c>
      <c r="S48" s="36">
        <f t="shared" si="15"/>
        <v>-16.870000000000005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5353.66</v>
      </c>
      <c r="G50" s="160">
        <f t="shared" si="12"/>
        <v>213.65999999999985</v>
      </c>
      <c r="H50" s="162">
        <f t="shared" si="10"/>
        <v>104.15680933852141</v>
      </c>
      <c r="I50" s="163">
        <f t="shared" si="13"/>
        <v>-5646.34</v>
      </c>
      <c r="J50" s="163">
        <f t="shared" si="16"/>
        <v>48.669636363636364</v>
      </c>
      <c r="K50" s="163">
        <v>4057.41</v>
      </c>
      <c r="L50" s="163">
        <f t="shared" si="1"/>
        <v>1296.25</v>
      </c>
      <c r="M50" s="216">
        <f t="shared" si="17"/>
        <v>1.319477203437661</v>
      </c>
      <c r="N50" s="162">
        <f>E50-квітень!E50</f>
        <v>900</v>
      </c>
      <c r="O50" s="166">
        <f>F50-квітень!F50</f>
        <v>672.1499999999996</v>
      </c>
      <c r="P50" s="165">
        <f t="shared" si="14"/>
        <v>-227.85000000000036</v>
      </c>
      <c r="Q50" s="163">
        <f t="shared" si="11"/>
        <v>74.6833333333333</v>
      </c>
      <c r="R50" s="36">
        <v>1000</v>
      </c>
      <c r="S50" s="36">
        <f t="shared" si="15"/>
        <v>-327.85000000000036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192.5</v>
      </c>
      <c r="G51" s="160">
        <f t="shared" si="12"/>
        <v>67.5</v>
      </c>
      <c r="H51" s="162">
        <f t="shared" si="10"/>
        <v>154</v>
      </c>
      <c r="I51" s="163">
        <f t="shared" si="13"/>
        <v>-117.5</v>
      </c>
      <c r="J51" s="163">
        <f t="shared" si="16"/>
        <v>62.096774193548384</v>
      </c>
      <c r="K51" s="163">
        <v>33.93</v>
      </c>
      <c r="L51" s="163">
        <f t="shared" si="1"/>
        <v>158.57</v>
      </c>
      <c r="M51" s="216"/>
      <c r="N51" s="162">
        <f>E51-квітень!E51</f>
        <v>25</v>
      </c>
      <c r="O51" s="166">
        <f>F51-квітень!F51</f>
        <v>17.129999999999995</v>
      </c>
      <c r="P51" s="165">
        <f t="shared" si="14"/>
        <v>-7.8700000000000045</v>
      </c>
      <c r="Q51" s="163">
        <f t="shared" si="11"/>
        <v>68.51999999999998</v>
      </c>
      <c r="R51" s="36">
        <v>25</v>
      </c>
      <c r="S51" s="36">
        <f t="shared" si="15"/>
        <v>-7.8700000000000045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305.58</v>
      </c>
      <c r="G54" s="160">
        <f t="shared" si="12"/>
        <v>-169.42000000000002</v>
      </c>
      <c r="H54" s="162">
        <f t="shared" si="10"/>
        <v>64.33263157894736</v>
      </c>
      <c r="I54" s="163">
        <f t="shared" si="13"/>
        <v>-894.4200000000001</v>
      </c>
      <c r="J54" s="163">
        <f t="shared" si="16"/>
        <v>25.465</v>
      </c>
      <c r="K54" s="163">
        <v>2573.46</v>
      </c>
      <c r="L54" s="163">
        <f t="shared" si="1"/>
        <v>-2267.88</v>
      </c>
      <c r="M54" s="216">
        <f t="shared" si="17"/>
        <v>0.1187428598074188</v>
      </c>
      <c r="N54" s="162">
        <f>E54-квітень!E54</f>
        <v>145</v>
      </c>
      <c r="O54" s="166">
        <f>F54-квітень!F54</f>
        <v>16.317999999999984</v>
      </c>
      <c r="P54" s="165">
        <f t="shared" si="14"/>
        <v>-128.68200000000002</v>
      </c>
      <c r="Q54" s="163">
        <f t="shared" si="11"/>
        <v>11.253793103448265</v>
      </c>
      <c r="R54" s="36">
        <v>70</v>
      </c>
      <c r="S54" s="36">
        <f t="shared" si="15"/>
        <v>-53.682000000000016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267.45</v>
      </c>
      <c r="G55" s="33">
        <f t="shared" si="12"/>
        <v>-132.55</v>
      </c>
      <c r="H55" s="29">
        <f t="shared" si="10"/>
        <v>66.8625</v>
      </c>
      <c r="I55" s="103">
        <f t="shared" si="13"/>
        <v>-730.55</v>
      </c>
      <c r="J55" s="103">
        <f t="shared" si="16"/>
        <v>26.79859719438878</v>
      </c>
      <c r="K55" s="103">
        <v>367.55</v>
      </c>
      <c r="L55" s="103">
        <f>F55-K55</f>
        <v>-100.10000000000002</v>
      </c>
      <c r="M55" s="108">
        <f t="shared" si="17"/>
        <v>0.7276561012107196</v>
      </c>
      <c r="N55" s="104">
        <f>E55-квітень!E55</f>
        <v>130</v>
      </c>
      <c r="O55" s="142">
        <f>F55-квітень!F55</f>
        <v>12.069999999999993</v>
      </c>
      <c r="P55" s="105">
        <f t="shared" si="14"/>
        <v>-117.93</v>
      </c>
      <c r="Q55" s="118">
        <f t="shared" si="11"/>
        <v>9.28461538461538</v>
      </c>
      <c r="R55" s="36"/>
      <c r="S55" s="36">
        <f t="shared" si="15"/>
        <v>12.069999999999993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0.13</v>
      </c>
      <c r="G56" s="33">
        <f t="shared" si="12"/>
        <v>0.13</v>
      </c>
      <c r="H56" s="29" t="e">
        <f t="shared" si="10"/>
        <v>#DIV/0!</v>
      </c>
      <c r="I56" s="103">
        <f t="shared" si="13"/>
        <v>-0.87</v>
      </c>
      <c r="J56" s="103">
        <f t="shared" si="16"/>
        <v>13</v>
      </c>
      <c r="K56" s="103">
        <v>0.23</v>
      </c>
      <c r="L56" s="103">
        <f>F56-K56</f>
        <v>-0.1</v>
      </c>
      <c r="M56" s="108">
        <f t="shared" si="17"/>
        <v>0.5652173913043478</v>
      </c>
      <c r="N56" s="104">
        <f>E56-квітень!E56</f>
        <v>0</v>
      </c>
      <c r="O56" s="142">
        <f>F56-квітень!F56</f>
        <v>0.010000000000000009</v>
      </c>
      <c r="P56" s="105">
        <f t="shared" si="14"/>
        <v>0.010000000000000009</v>
      </c>
      <c r="Q56" s="118" t="e">
        <f t="shared" si="11"/>
        <v>#DIV/0!</v>
      </c>
      <c r="R56" s="36"/>
      <c r="S56" s="36">
        <f t="shared" si="15"/>
        <v>0.010000000000000009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38</v>
      </c>
      <c r="G58" s="33">
        <f t="shared" si="12"/>
        <v>-37</v>
      </c>
      <c r="H58" s="29">
        <f t="shared" si="10"/>
        <v>50.66666666666667</v>
      </c>
      <c r="I58" s="103">
        <f t="shared" si="13"/>
        <v>-162</v>
      </c>
      <c r="J58" s="103">
        <f t="shared" si="16"/>
        <v>19</v>
      </c>
      <c r="K58" s="103">
        <v>2205.67</v>
      </c>
      <c r="L58" s="103">
        <f>F58-K58</f>
        <v>-2167.67</v>
      </c>
      <c r="M58" s="108">
        <f t="shared" si="17"/>
        <v>0.017228325180104004</v>
      </c>
      <c r="N58" s="104">
        <f>E58-квітень!E58</f>
        <v>15</v>
      </c>
      <c r="O58" s="142">
        <f>F58-квітень!F58</f>
        <v>4.229999999999997</v>
      </c>
      <c r="P58" s="105">
        <f t="shared" si="14"/>
        <v>-10.770000000000003</v>
      </c>
      <c r="Q58" s="118">
        <f t="shared" si="11"/>
        <v>28.19999999999998</v>
      </c>
      <c r="R58" s="36"/>
      <c r="S58" s="36">
        <f t="shared" si="15"/>
        <v>4.229999999999997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3850.92</v>
      </c>
      <c r="G60" s="160">
        <f t="shared" si="12"/>
        <v>-409.0799999999999</v>
      </c>
      <c r="H60" s="162">
        <f t="shared" si="10"/>
        <v>90.39718309859155</v>
      </c>
      <c r="I60" s="163">
        <f t="shared" si="13"/>
        <v>-3499.08</v>
      </c>
      <c r="J60" s="163">
        <f t="shared" si="16"/>
        <v>52.3934693877551</v>
      </c>
      <c r="K60" s="163">
        <v>2320.11</v>
      </c>
      <c r="L60" s="163">
        <f aca="true" t="shared" si="18" ref="L60:L66">F60-K60</f>
        <v>1530.81</v>
      </c>
      <c r="M60" s="216">
        <f t="shared" si="17"/>
        <v>1.6598006129019744</v>
      </c>
      <c r="N60" s="162">
        <f>E60-квітень!E60</f>
        <v>600</v>
      </c>
      <c r="O60" s="166">
        <f>F60-квітень!F60</f>
        <v>314.7080000000001</v>
      </c>
      <c r="P60" s="165">
        <f t="shared" si="14"/>
        <v>-285.2919999999999</v>
      </c>
      <c r="Q60" s="163">
        <f t="shared" si="11"/>
        <v>52.45133333333335</v>
      </c>
      <c r="R60" s="36">
        <v>450</v>
      </c>
      <c r="S60" s="36">
        <f t="shared" si="15"/>
        <v>-135.29199999999992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767.5</v>
      </c>
      <c r="G62" s="160"/>
      <c r="H62" s="162"/>
      <c r="I62" s="163"/>
      <c r="J62" s="163"/>
      <c r="K62" s="164">
        <v>478.67</v>
      </c>
      <c r="L62" s="163">
        <f t="shared" si="18"/>
        <v>288.83</v>
      </c>
      <c r="M62" s="216">
        <f t="shared" si="17"/>
        <v>1.6034010905216538</v>
      </c>
      <c r="N62" s="193"/>
      <c r="O62" s="177">
        <f>F62-квітень!F62</f>
        <v>127.80999999999995</v>
      </c>
      <c r="P62" s="164"/>
      <c r="Q62" s="163"/>
      <c r="R62" s="36"/>
      <c r="S62" s="36">
        <f t="shared" si="15"/>
        <v>127.80999999999995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16.85</v>
      </c>
      <c r="G65" s="160">
        <f t="shared" si="12"/>
        <v>10.450000000000001</v>
      </c>
      <c r="H65" s="162">
        <f t="shared" si="10"/>
        <v>263.28125</v>
      </c>
      <c r="I65" s="163">
        <f t="shared" si="13"/>
        <v>1.8500000000000014</v>
      </c>
      <c r="J65" s="163">
        <f t="shared" si="16"/>
        <v>112.33333333333336</v>
      </c>
      <c r="K65" s="163">
        <v>13.52</v>
      </c>
      <c r="L65" s="163">
        <f t="shared" si="18"/>
        <v>3.330000000000002</v>
      </c>
      <c r="M65" s="216">
        <f t="shared" si="17"/>
        <v>1.246301775147929</v>
      </c>
      <c r="N65" s="162">
        <f>E65-квітень!E65</f>
        <v>1.3000000000000007</v>
      </c>
      <c r="O65" s="166">
        <f>F65-квітень!F65</f>
        <v>-0.0019999999999988916</v>
      </c>
      <c r="P65" s="165">
        <f t="shared" si="14"/>
        <v>-1.3019999999999996</v>
      </c>
      <c r="Q65" s="163">
        <f t="shared" si="11"/>
        <v>-0.1538461538460685</v>
      </c>
      <c r="R65" s="36">
        <v>1.3</v>
      </c>
      <c r="S65" s="36">
        <f t="shared" si="15"/>
        <v>-1.301999999999999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470978.66</v>
      </c>
      <c r="G67" s="149">
        <f>F67-E67</f>
        <v>-58528.64000000007</v>
      </c>
      <c r="H67" s="150">
        <f>F67/E67*100</f>
        <v>88.94658487238985</v>
      </c>
      <c r="I67" s="151">
        <f>F67-D67</f>
        <v>-886512.4400000002</v>
      </c>
      <c r="J67" s="151">
        <f>F67/D67*100</f>
        <v>34.69478805422739</v>
      </c>
      <c r="K67" s="151">
        <v>397849.29</v>
      </c>
      <c r="L67" s="151">
        <f>F67-K67</f>
        <v>73129.37</v>
      </c>
      <c r="M67" s="217">
        <f>F67/K67</f>
        <v>1.183811739364924</v>
      </c>
      <c r="N67" s="149">
        <f>N8+N41+N65+N66</f>
        <v>112090.19999999998</v>
      </c>
      <c r="O67" s="149">
        <f>O8+O41+O65+O66</f>
        <v>51216.90599999999</v>
      </c>
      <c r="P67" s="153">
        <f>O67-N67</f>
        <v>-60873.293999999994</v>
      </c>
      <c r="Q67" s="151">
        <f>O67/N67*100</f>
        <v>45.69258151024799</v>
      </c>
      <c r="R67" s="26">
        <f>R8+R41+R65+R66</f>
        <v>109914</v>
      </c>
      <c r="S67" s="277">
        <f>O67-R67</f>
        <v>-58697.09400000001</v>
      </c>
      <c r="T67" s="277"/>
      <c r="U67" s="114">
        <f>O67/34768</f>
        <v>1.473104751495628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0.12</v>
      </c>
      <c r="G76" s="160">
        <f t="shared" si="19"/>
        <v>-4499.88</v>
      </c>
      <c r="H76" s="162">
        <f>F76/E76*100</f>
        <v>0.0026666666666666666</v>
      </c>
      <c r="I76" s="165">
        <f t="shared" si="20"/>
        <v>-104205.91</v>
      </c>
      <c r="J76" s="165">
        <f>F76/D76*100</f>
        <v>0.00011515648374666994</v>
      </c>
      <c r="K76" s="165">
        <v>1041.97</v>
      </c>
      <c r="L76" s="165">
        <f t="shared" si="21"/>
        <v>-1041.8500000000001</v>
      </c>
      <c r="M76" s="207">
        <f>F76/K76</f>
        <v>0.00011516646352582127</v>
      </c>
      <c r="N76" s="162">
        <f>E76-квітень!E76</f>
        <v>4500</v>
      </c>
      <c r="O76" s="166">
        <f>F76-квітень!F76</f>
        <v>0</v>
      </c>
      <c r="P76" s="165">
        <f t="shared" si="22"/>
        <v>-4500</v>
      </c>
      <c r="Q76" s="165">
        <f>O76/N76*100</f>
        <v>0</v>
      </c>
      <c r="R76" s="37">
        <v>0</v>
      </c>
      <c r="S76" s="37">
        <f aca="true" t="shared" si="23" ref="S76:S87">O76-R76</f>
        <v>0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2903.86</v>
      </c>
      <c r="G78" s="160">
        <f t="shared" si="19"/>
        <v>-9446.14</v>
      </c>
      <c r="H78" s="162">
        <f>F78/E78*100</f>
        <v>23.513036437246964</v>
      </c>
      <c r="I78" s="165">
        <f t="shared" si="20"/>
        <v>-76096.14</v>
      </c>
      <c r="J78" s="165">
        <f>F78/D78*100</f>
        <v>3.6757721518987347</v>
      </c>
      <c r="K78" s="165">
        <v>9113.39</v>
      </c>
      <c r="L78" s="165">
        <f t="shared" si="21"/>
        <v>-6209.529999999999</v>
      </c>
      <c r="M78" s="207">
        <f>F78/K78</f>
        <v>0.3186366434444263</v>
      </c>
      <c r="N78" s="162">
        <f>E78-квітень!E78</f>
        <v>3850</v>
      </c>
      <c r="O78" s="166">
        <f>F78-квітень!F78</f>
        <v>1082.41</v>
      </c>
      <c r="P78" s="165">
        <f t="shared" si="22"/>
        <v>-2767.59</v>
      </c>
      <c r="Q78" s="165">
        <f>O78/N78*100</f>
        <v>28.114545454545457</v>
      </c>
      <c r="R78" s="37">
        <v>1500</v>
      </c>
      <c r="S78" s="37">
        <f t="shared" si="23"/>
        <v>-417.5899999999999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3214.88</v>
      </c>
      <c r="G80" s="183">
        <f t="shared" si="19"/>
        <v>-25670.12</v>
      </c>
      <c r="H80" s="184">
        <f>F80/E80*100</f>
        <v>11.129929028907739</v>
      </c>
      <c r="I80" s="185">
        <f t="shared" si="20"/>
        <v>-234003.15</v>
      </c>
      <c r="J80" s="185">
        <f>F80/D80*100</f>
        <v>1.3552426853894706</v>
      </c>
      <c r="K80" s="185">
        <v>11029.59</v>
      </c>
      <c r="L80" s="185">
        <f t="shared" si="21"/>
        <v>-7814.71</v>
      </c>
      <c r="M80" s="212">
        <f>F80/K80</f>
        <v>0.2914777430530056</v>
      </c>
      <c r="N80" s="183">
        <f>N76+N77+N78+N79</f>
        <v>11951</v>
      </c>
      <c r="O80" s="187">
        <f>O76+O77+O78+O79</f>
        <v>1085.39</v>
      </c>
      <c r="P80" s="185">
        <f t="shared" si="22"/>
        <v>-10865.61</v>
      </c>
      <c r="Q80" s="185">
        <f>O80/N80*100</f>
        <v>9.082001506150114</v>
      </c>
      <c r="R80" s="38">
        <f>SUM(R76:R79)</f>
        <v>1701</v>
      </c>
      <c r="S80" s="38">
        <f t="shared" si="23"/>
        <v>-615.6099999999999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9.42</v>
      </c>
      <c r="G81" s="160">
        <f t="shared" si="19"/>
        <v>5.92</v>
      </c>
      <c r="H81" s="162"/>
      <c r="I81" s="165">
        <f t="shared" si="20"/>
        <v>-30.58</v>
      </c>
      <c r="J81" s="165"/>
      <c r="K81" s="165">
        <v>4.4</v>
      </c>
      <c r="L81" s="165">
        <f t="shared" si="21"/>
        <v>5.02</v>
      </c>
      <c r="M81" s="207">
        <f>F81/K81</f>
        <v>2.1409090909090907</v>
      </c>
      <c r="N81" s="162">
        <f>E81-квітень!E81</f>
        <v>1</v>
      </c>
      <c r="O81" s="166">
        <f>F81-квітень!F81</f>
        <v>0.16999999999999993</v>
      </c>
      <c r="P81" s="165">
        <f t="shared" si="22"/>
        <v>-0.8300000000000001</v>
      </c>
      <c r="Q81" s="165"/>
      <c r="R81" s="37">
        <v>1</v>
      </c>
      <c r="S81" s="37">
        <f t="shared" si="23"/>
        <v>-0.8300000000000001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2246.68</v>
      </c>
      <c r="G83" s="160">
        <f t="shared" si="19"/>
        <v>-2259.82</v>
      </c>
      <c r="H83" s="162">
        <f>F83/E83*100</f>
        <v>49.85421058471097</v>
      </c>
      <c r="I83" s="165">
        <f t="shared" si="20"/>
        <v>-6113.32</v>
      </c>
      <c r="J83" s="165">
        <f>F83/D83*100</f>
        <v>26.874162679425833</v>
      </c>
      <c r="K83" s="165">
        <v>4887.77</v>
      </c>
      <c r="L83" s="165">
        <f t="shared" si="21"/>
        <v>-2641.0900000000006</v>
      </c>
      <c r="M83" s="207"/>
      <c r="N83" s="162">
        <f>E83-квітень!E83</f>
        <v>2141.3</v>
      </c>
      <c r="O83" s="166">
        <f>F83-квітень!F83</f>
        <v>15.139999999999873</v>
      </c>
      <c r="P83" s="165">
        <f>O83-N83</f>
        <v>-2126.1600000000003</v>
      </c>
      <c r="Q83" s="188">
        <f>O83/N83*100</f>
        <v>0.7070471209078537</v>
      </c>
      <c r="R83" s="40">
        <v>2850</v>
      </c>
      <c r="S83" s="285">
        <f t="shared" si="23"/>
        <v>-2834.86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0.69</v>
      </c>
      <c r="L84" s="165">
        <f t="shared" si="21"/>
        <v>-0.6599999999999999</v>
      </c>
      <c r="M84" s="207">
        <f aca="true" t="shared" si="24" ref="M84:M89">F84/K84</f>
        <v>0.043478260869565216</v>
      </c>
      <c r="N84" s="162">
        <f>E84-квітень!E84</f>
        <v>0</v>
      </c>
      <c r="O84" s="166">
        <f>F84-квітень!F84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2256.1299999999997</v>
      </c>
      <c r="G85" s="181">
        <f>G81+G84+G82+G83</f>
        <v>-2253.8700000000003</v>
      </c>
      <c r="H85" s="184">
        <f>F85/E85*100</f>
        <v>50.0250554323725</v>
      </c>
      <c r="I85" s="185">
        <f t="shared" si="20"/>
        <v>-6143.870000000001</v>
      </c>
      <c r="J85" s="185">
        <f>F85/D85*100</f>
        <v>26.85869047619047</v>
      </c>
      <c r="K85" s="185">
        <v>4892.86</v>
      </c>
      <c r="L85" s="185">
        <f t="shared" si="21"/>
        <v>-2636.73</v>
      </c>
      <c r="M85" s="218">
        <f t="shared" si="24"/>
        <v>0.46110659205454474</v>
      </c>
      <c r="N85" s="183">
        <f>N81+N84+N82+N83</f>
        <v>2142.3</v>
      </c>
      <c r="O85" s="187">
        <f>O81+O84+O82+O83</f>
        <v>15.309999999999873</v>
      </c>
      <c r="P85" s="183">
        <f>P81+P84+P82+P83</f>
        <v>-2126.9900000000002</v>
      </c>
      <c r="Q85" s="185">
        <f>O85/N85*100</f>
        <v>0.7146524763105013</v>
      </c>
      <c r="R85" s="38">
        <f>SUM(R81:R84)</f>
        <v>2851</v>
      </c>
      <c r="S85" s="38">
        <f t="shared" si="23"/>
        <v>-2835.69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7.6</v>
      </c>
      <c r="G86" s="160">
        <f t="shared" si="19"/>
        <v>-7.700000000000001</v>
      </c>
      <c r="H86" s="162">
        <f>F86/E86*100</f>
        <v>49.67320261437908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4"/>
        <v>0.8269858541893362</v>
      </c>
      <c r="N86" s="162">
        <f>E86-квітень!E86</f>
        <v>1.200000000000001</v>
      </c>
      <c r="O86" s="166">
        <f>F86-квітень!F86</f>
        <v>0</v>
      </c>
      <c r="P86" s="165">
        <f t="shared" si="22"/>
        <v>-1.200000000000001</v>
      </c>
      <c r="Q86" s="165">
        <f>O86/N86</f>
        <v>0</v>
      </c>
      <c r="R86" s="37">
        <v>1.2</v>
      </c>
      <c r="S86" s="37">
        <f t="shared" si="23"/>
        <v>-1.2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5511.55</v>
      </c>
      <c r="G88" s="190">
        <f>F88-E88</f>
        <v>-27898.750000000004</v>
      </c>
      <c r="H88" s="191">
        <f>F88/E88*100</f>
        <v>16.496559444243243</v>
      </c>
      <c r="I88" s="192">
        <f>F88-D88</f>
        <v>-240144.48</v>
      </c>
      <c r="J88" s="192">
        <f>F88/D88*100</f>
        <v>2.2436046043730333</v>
      </c>
      <c r="K88" s="192">
        <v>15931.38</v>
      </c>
      <c r="L88" s="192">
        <f>F88-K88</f>
        <v>-10419.829999999998</v>
      </c>
      <c r="M88" s="219">
        <f t="shared" si="24"/>
        <v>0.3459555920453847</v>
      </c>
      <c r="N88" s="189">
        <f>N74+N75+N80+N85+N86</f>
        <v>14094.5</v>
      </c>
      <c r="O88" s="189">
        <f>O74+O75+O80+O85+O86</f>
        <v>1098.06</v>
      </c>
      <c r="P88" s="192">
        <f t="shared" si="22"/>
        <v>-12996.44</v>
      </c>
      <c r="Q88" s="192">
        <f>O88/N88*100</f>
        <v>7.790698499414665</v>
      </c>
      <c r="R88" s="26">
        <f>R80+R85+R86+R87</f>
        <v>4553.2</v>
      </c>
      <c r="S88" s="26">
        <f>S80+S85+S86+S87</f>
        <v>-3452.5</v>
      </c>
      <c r="T88" s="26"/>
      <c r="U88" s="94">
        <f>O88/8104.96</f>
        <v>0.13548000236891977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476490.20999999996</v>
      </c>
      <c r="G89" s="190">
        <f>F89-E89</f>
        <v>-86427.39000000013</v>
      </c>
      <c r="H89" s="191">
        <f>F89/E89*100</f>
        <v>84.64652908347507</v>
      </c>
      <c r="I89" s="192">
        <f>F89-D89</f>
        <v>-1126656.9200000002</v>
      </c>
      <c r="J89" s="192">
        <f>F89/D89*100</f>
        <v>29.722175905339387</v>
      </c>
      <c r="K89" s="192">
        <f>K67+K88</f>
        <v>413780.67</v>
      </c>
      <c r="L89" s="192">
        <f>F89-K89</f>
        <v>62709.53999999998</v>
      </c>
      <c r="M89" s="219">
        <f t="shared" si="24"/>
        <v>1.1515526087770123</v>
      </c>
      <c r="N89" s="190">
        <f>N67+N88</f>
        <v>126184.69999999998</v>
      </c>
      <c r="O89" s="190">
        <f>O67+O88</f>
        <v>52314.965999999986</v>
      </c>
      <c r="P89" s="192">
        <f t="shared" si="22"/>
        <v>-73869.734</v>
      </c>
      <c r="Q89" s="192">
        <f>O89/N89*100</f>
        <v>41.459040596839394</v>
      </c>
      <c r="R89" s="26">
        <f>R67+R88</f>
        <v>114467.2</v>
      </c>
      <c r="S89" s="26">
        <f>S67+S88</f>
        <v>-62149.59400000001</v>
      </c>
      <c r="T89" s="26"/>
      <c r="U89" s="94">
        <f>O89/42872.96</f>
        <v>1.2202321929719802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11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5533.935818181818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42871</v>
      </c>
      <c r="D93" s="28">
        <v>5596.1</v>
      </c>
      <c r="G93" s="4" t="s">
        <v>58</v>
      </c>
      <c r="O93" s="295"/>
      <c r="P93" s="295"/>
    </row>
    <row r="94" spans="3:16" ht="15">
      <c r="C94" s="80">
        <v>42870</v>
      </c>
      <c r="D94" s="28">
        <v>7970.8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42868</v>
      </c>
      <c r="D95" s="28">
        <v>3291.1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16.792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641.4200000000001</v>
      </c>
      <c r="G100" s="67">
        <f>G48+G51+G52</f>
        <v>109.42000000000002</v>
      </c>
      <c r="H100" s="68"/>
      <c r="I100" s="68"/>
      <c r="N100" s="28">
        <f>N48+N51+N52</f>
        <v>88</v>
      </c>
      <c r="O100" s="200">
        <f>O48+O51+O52</f>
        <v>61.21999999999999</v>
      </c>
      <c r="P100" s="28">
        <f>P48+P51+P52</f>
        <v>-26.78000000000001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447055.51999999996</v>
      </c>
      <c r="G102" s="28">
        <f>F102-E102</f>
        <v>-57916.98000000004</v>
      </c>
      <c r="H102" s="228">
        <f>F102/E102</f>
        <v>0.8853066652144423</v>
      </c>
      <c r="I102" s="28">
        <f>F102-D102</f>
        <v>-851993.0800000001</v>
      </c>
      <c r="J102" s="228">
        <f>F102/D102</f>
        <v>0.3441407196004829</v>
      </c>
      <c r="N102" s="28">
        <f>N9+N15+N17+N18+N19+N23+N42+N45+N65+N59</f>
        <v>106907.39999999998</v>
      </c>
      <c r="O102" s="227">
        <f>O9+O15+O17+O18+O19+O23+O42+O45+O65+O59</f>
        <v>46903.20199999999</v>
      </c>
      <c r="P102" s="28">
        <f>O102-N102</f>
        <v>-60004.19799999999</v>
      </c>
      <c r="Q102" s="228">
        <f>O102/N102</f>
        <v>0.4387273659260257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23923.139999999996</v>
      </c>
      <c r="G103" s="28">
        <f>G43+G44+G46+G48+G50+G51+G52+G53+G54+G60+G64+G47</f>
        <v>-606.41</v>
      </c>
      <c r="H103" s="228">
        <f>F103/E103</f>
        <v>0.9750696969202927</v>
      </c>
      <c r="I103" s="28">
        <f>I43+I44+I46+I48+I50+I51+I52+I53+I54+I60+I64+I47</f>
        <v>-34514.11</v>
      </c>
      <c r="J103" s="228">
        <f>F103/D103</f>
        <v>0.409344911665312</v>
      </c>
      <c r="K103" s="28">
        <f aca="true" t="shared" si="25" ref="K103:P103">K43+K44+K46+K48+K50+K51+K52+K53+K54+K60+K64+K47</f>
        <v>22597.689999999995</v>
      </c>
      <c r="L103" s="28">
        <f t="shared" si="25"/>
        <v>1330.7000000000005</v>
      </c>
      <c r="M103" s="28">
        <f t="shared" si="25"/>
        <v>17.115665935584058</v>
      </c>
      <c r="N103" s="28">
        <f>N43+N44+N46+N48+N50+N51+N52+N53+N54+N60+N64+N47+N66</f>
        <v>5182.8</v>
      </c>
      <c r="O103" s="227">
        <f>O43+O44+O46+O48+O50+O51+O52+O53+O54+O60+O64+O47+O66</f>
        <v>4313.704</v>
      </c>
      <c r="P103" s="28">
        <f t="shared" si="25"/>
        <v>-869.0960000000007</v>
      </c>
      <c r="Q103" s="228">
        <f>O103/N103</f>
        <v>0.832311491857683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470978.66</v>
      </c>
      <c r="G104" s="28">
        <f t="shared" si="26"/>
        <v>-58523.39000000004</v>
      </c>
      <c r="H104" s="228">
        <f>F104/E104</f>
        <v>0.8894658487238984</v>
      </c>
      <c r="I104" s="28">
        <f t="shared" si="26"/>
        <v>-886507.1900000001</v>
      </c>
      <c r="J104" s="228">
        <f>F104/D104</f>
        <v>0.3469478805422739</v>
      </c>
      <c r="K104" s="28">
        <f t="shared" si="26"/>
        <v>22597.689999999995</v>
      </c>
      <c r="L104" s="28">
        <f t="shared" si="26"/>
        <v>1330.7000000000005</v>
      </c>
      <c r="M104" s="28">
        <f t="shared" si="26"/>
        <v>17.115665935584058</v>
      </c>
      <c r="N104" s="28">
        <f t="shared" si="26"/>
        <v>112090.19999999998</v>
      </c>
      <c r="O104" s="227">
        <f t="shared" si="26"/>
        <v>51216.90599999999</v>
      </c>
      <c r="P104" s="28">
        <f t="shared" si="26"/>
        <v>-60873.29399999999</v>
      </c>
      <c r="Q104" s="228">
        <f>O104/N104</f>
        <v>0.4569258151024799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</v>
      </c>
      <c r="G105" s="28">
        <f t="shared" si="27"/>
        <v>-5.250000000029104</v>
      </c>
      <c r="H105" s="228"/>
      <c r="I105" s="28">
        <f t="shared" si="27"/>
        <v>-5.250000000116415</v>
      </c>
      <c r="J105" s="228"/>
      <c r="K105" s="28">
        <f t="shared" si="27"/>
        <v>375251.6</v>
      </c>
      <c r="L105" s="28">
        <f t="shared" si="27"/>
        <v>71798.67</v>
      </c>
      <c r="M105" s="28">
        <f t="shared" si="27"/>
        <v>-15.931854196219135</v>
      </c>
      <c r="N105" s="28">
        <f t="shared" si="27"/>
        <v>0</v>
      </c>
      <c r="O105" s="28">
        <f t="shared" si="27"/>
        <v>0</v>
      </c>
      <c r="P105" s="28">
        <f t="shared" si="27"/>
        <v>0</v>
      </c>
      <c r="Q105" s="28"/>
      <c r="R105" s="28">
        <f t="shared" si="27"/>
        <v>109914</v>
      </c>
      <c r="S105" s="28"/>
      <c r="T105" s="28"/>
      <c r="U105" s="28">
        <f t="shared" si="27"/>
        <v>1.473104751495628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25765.87</v>
      </c>
      <c r="G111" s="190">
        <f>F111-E111</f>
        <v>-25746.49</v>
      </c>
      <c r="H111" s="191">
        <f>F111/E111*100</f>
        <v>50.01881101933594</v>
      </c>
      <c r="I111" s="192">
        <f>F111-D111</f>
        <v>-292298.38</v>
      </c>
      <c r="J111" s="192">
        <f>F111/D111*100</f>
        <v>8.100838116827024</v>
      </c>
      <c r="K111" s="192">
        <v>3039.87</v>
      </c>
      <c r="L111" s="192">
        <f>F111-K111</f>
        <v>22726</v>
      </c>
      <c r="M111" s="266">
        <f>F111/K111</f>
        <v>8.47597759114699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496744.52999999997</v>
      </c>
      <c r="G112" s="190">
        <f>F112-E112</f>
        <v>-84275.13000000006</v>
      </c>
      <c r="H112" s="191">
        <f>F112/E112*100</f>
        <v>85.49530492651488</v>
      </c>
      <c r="I112" s="192">
        <f>F112-D112</f>
        <v>-1178810.82</v>
      </c>
      <c r="J112" s="192">
        <f>F112/D112*100</f>
        <v>29.64656046725045</v>
      </c>
      <c r="K112" s="192">
        <f>K89+K111</f>
        <v>416820.54</v>
      </c>
      <c r="L112" s="192">
        <f>F112-K112</f>
        <v>79923.98999999999</v>
      </c>
      <c r="M112" s="266">
        <f>F112/K112</f>
        <v>1.1917467646867883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1042573.6099999999</v>
      </c>
      <c r="G124" s="275">
        <f t="shared" si="29"/>
        <v>-89101.65000000014</v>
      </c>
      <c r="H124" s="274">
        <f t="shared" si="31"/>
        <v>92.12657083269629</v>
      </c>
      <c r="I124" s="276">
        <f t="shared" si="30"/>
        <v>-1855850.4300000002</v>
      </c>
      <c r="J124" s="276">
        <f t="shared" si="32"/>
        <v>35.97036167282134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2" sqref="F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3" t="s">
        <v>183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5"/>
      <c r="T1" s="85"/>
      <c r="U1" s="86"/>
    </row>
    <row r="2" spans="2:21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178</v>
      </c>
      <c r="O3" s="324" t="s">
        <v>177</v>
      </c>
      <c r="P3" s="324"/>
      <c r="Q3" s="324"/>
      <c r="R3" s="324"/>
      <c r="S3" s="324"/>
      <c r="T3" s="324"/>
      <c r="U3" s="324"/>
    </row>
    <row r="4" spans="1:21" ht="22.5" customHeight="1">
      <c r="A4" s="315"/>
      <c r="B4" s="317"/>
      <c r="C4" s="318"/>
      <c r="D4" s="319"/>
      <c r="E4" s="325" t="s">
        <v>174</v>
      </c>
      <c r="F4" s="307" t="s">
        <v>33</v>
      </c>
      <c r="G4" s="297" t="s">
        <v>175</v>
      </c>
      <c r="H4" s="309" t="s">
        <v>176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184</v>
      </c>
      <c r="P4" s="297" t="s">
        <v>49</v>
      </c>
      <c r="Q4" s="29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179</v>
      </c>
      <c r="L5" s="301"/>
      <c r="M5" s="302"/>
      <c r="N5" s="310"/>
      <c r="O5" s="312"/>
      <c r="P5" s="298"/>
      <c r="Q5" s="299"/>
      <c r="R5" s="303" t="s">
        <v>180</v>
      </c>
      <c r="S5" s="304"/>
      <c r="T5" s="305" t="s">
        <v>181</v>
      </c>
      <c r="U5" s="30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295"/>
      <c r="P93" s="295"/>
    </row>
    <row r="94" spans="3:16" ht="15">
      <c r="C94" s="80">
        <v>42852</v>
      </c>
      <c r="D94" s="28">
        <v>13266.8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42851</v>
      </c>
      <c r="D95" s="28">
        <v>6064.2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102.57358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2" sqref="F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13" t="s">
        <v>172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  <c r="T1" s="243"/>
      <c r="U1" s="246"/>
      <c r="V1" s="256"/>
      <c r="W1" s="256"/>
    </row>
    <row r="2" spans="2:23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150</v>
      </c>
      <c r="O3" s="324" t="s">
        <v>151</v>
      </c>
      <c r="P3" s="324"/>
      <c r="Q3" s="324"/>
      <c r="R3" s="324"/>
      <c r="S3" s="324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15"/>
      <c r="B4" s="317"/>
      <c r="C4" s="318"/>
      <c r="D4" s="319"/>
      <c r="E4" s="325" t="s">
        <v>140</v>
      </c>
      <c r="F4" s="307" t="s">
        <v>33</v>
      </c>
      <c r="G4" s="297" t="s">
        <v>149</v>
      </c>
      <c r="H4" s="309" t="s">
        <v>163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173</v>
      </c>
      <c r="P4" s="297" t="s">
        <v>49</v>
      </c>
      <c r="Q4" s="299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156</v>
      </c>
      <c r="L5" s="301"/>
      <c r="M5" s="302"/>
      <c r="N5" s="310"/>
      <c r="O5" s="312"/>
      <c r="P5" s="298"/>
      <c r="Q5" s="299"/>
      <c r="R5" s="300" t="s">
        <v>102</v>
      </c>
      <c r="S5" s="302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295"/>
      <c r="P93" s="295"/>
    </row>
    <row r="94" spans="3:16" ht="15">
      <c r="C94" s="80">
        <v>42824</v>
      </c>
      <c r="D94" s="28">
        <v>11112.7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42823</v>
      </c>
      <c r="D95" s="28">
        <v>8830.3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1399.2856000000002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3" t="s">
        <v>138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</row>
    <row r="2" spans="2:19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131</v>
      </c>
      <c r="O3" s="324" t="s">
        <v>135</v>
      </c>
      <c r="P3" s="324"/>
      <c r="Q3" s="324"/>
      <c r="R3" s="324"/>
      <c r="S3" s="324"/>
    </row>
    <row r="4" spans="1:19" ht="22.5" customHeight="1">
      <c r="A4" s="315"/>
      <c r="B4" s="317"/>
      <c r="C4" s="318"/>
      <c r="D4" s="319"/>
      <c r="E4" s="325" t="s">
        <v>136</v>
      </c>
      <c r="F4" s="307" t="s">
        <v>33</v>
      </c>
      <c r="G4" s="297" t="s">
        <v>132</v>
      </c>
      <c r="H4" s="309" t="s">
        <v>133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139</v>
      </c>
      <c r="P4" s="297" t="s">
        <v>49</v>
      </c>
      <c r="Q4" s="299" t="s">
        <v>48</v>
      </c>
      <c r="R4" s="90" t="s">
        <v>64</v>
      </c>
      <c r="S4" s="91" t="s">
        <v>63</v>
      </c>
    </row>
    <row r="5" spans="1:19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134</v>
      </c>
      <c r="L5" s="301"/>
      <c r="M5" s="302"/>
      <c r="N5" s="310"/>
      <c r="O5" s="312"/>
      <c r="P5" s="298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95"/>
      <c r="P90" s="295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9"/>
      <c r="H91" s="289"/>
      <c r="I91" s="117"/>
      <c r="J91" s="292"/>
      <c r="K91" s="292"/>
      <c r="L91" s="292"/>
      <c r="M91" s="292"/>
      <c r="N91" s="292"/>
      <c r="O91" s="295"/>
      <c r="P91" s="295"/>
    </row>
    <row r="92" spans="3:16" ht="15.75" customHeight="1">
      <c r="C92" s="80">
        <v>42790</v>
      </c>
      <c r="D92" s="28">
        <v>4206.9</v>
      </c>
      <c r="F92" s="67"/>
      <c r="G92" s="289"/>
      <c r="H92" s="289"/>
      <c r="I92" s="117"/>
      <c r="J92" s="296"/>
      <c r="K92" s="296"/>
      <c r="L92" s="296"/>
      <c r="M92" s="296"/>
      <c r="N92" s="296"/>
      <c r="O92" s="295"/>
      <c r="P92" s="295"/>
    </row>
    <row r="93" spans="3:14" ht="15.75" customHeight="1">
      <c r="C93" s="80"/>
      <c r="F93" s="67"/>
      <c r="G93" s="291"/>
      <c r="H93" s="291"/>
      <c r="I93" s="123"/>
      <c r="J93" s="292"/>
      <c r="K93" s="292"/>
      <c r="L93" s="292"/>
      <c r="M93" s="292"/>
      <c r="N93" s="292"/>
    </row>
    <row r="94" spans="2:14" ht="18.75" customHeight="1">
      <c r="B94" s="293" t="s">
        <v>56</v>
      </c>
      <c r="C94" s="294"/>
      <c r="D94" s="132">
        <v>7713.34596</v>
      </c>
      <c r="E94" s="68"/>
      <c r="F94" s="124" t="s">
        <v>105</v>
      </c>
      <c r="G94" s="289"/>
      <c r="H94" s="289"/>
      <c r="I94" s="125"/>
      <c r="J94" s="292"/>
      <c r="K94" s="292"/>
      <c r="L94" s="292"/>
      <c r="M94" s="292"/>
      <c r="N94" s="292"/>
    </row>
    <row r="95" spans="6:13" ht="9.75" customHeight="1">
      <c r="F95" s="67"/>
      <c r="G95" s="289"/>
      <c r="H95" s="289"/>
      <c r="I95" s="67"/>
      <c r="J95" s="68"/>
      <c r="K95" s="68"/>
      <c r="L95" s="68"/>
      <c r="M95" s="68"/>
    </row>
    <row r="96" spans="2:13" ht="22.5" customHeight="1" hidden="1">
      <c r="B96" s="287" t="s">
        <v>59</v>
      </c>
      <c r="C96" s="288"/>
      <c r="D96" s="79">
        <v>0</v>
      </c>
      <c r="E96" s="50" t="s">
        <v>24</v>
      </c>
      <c r="F96" s="67"/>
      <c r="G96" s="289"/>
      <c r="H96" s="28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90"/>
      <c r="P98" s="29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3" t="s">
        <v>130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</row>
    <row r="2" spans="2:19" s="1" customFormat="1" ht="15.75" customHeight="1">
      <c r="B2" s="314"/>
      <c r="C2" s="314"/>
      <c r="D2" s="314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5"/>
      <c r="B3" s="317"/>
      <c r="C3" s="318" t="s">
        <v>0</v>
      </c>
      <c r="D3" s="319" t="s">
        <v>121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119</v>
      </c>
      <c r="O3" s="324" t="s">
        <v>115</v>
      </c>
      <c r="P3" s="324"/>
      <c r="Q3" s="324"/>
      <c r="R3" s="324"/>
      <c r="S3" s="324"/>
    </row>
    <row r="4" spans="1:19" ht="22.5" customHeight="1">
      <c r="A4" s="315"/>
      <c r="B4" s="317"/>
      <c r="C4" s="318"/>
      <c r="D4" s="319"/>
      <c r="E4" s="325" t="s">
        <v>122</v>
      </c>
      <c r="F4" s="307" t="s">
        <v>33</v>
      </c>
      <c r="G4" s="297" t="s">
        <v>123</v>
      </c>
      <c r="H4" s="309" t="s">
        <v>124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120</v>
      </c>
      <c r="P4" s="297" t="s">
        <v>49</v>
      </c>
      <c r="Q4" s="299" t="s">
        <v>48</v>
      </c>
      <c r="R4" s="90" t="s">
        <v>64</v>
      </c>
      <c r="S4" s="91" t="s">
        <v>63</v>
      </c>
    </row>
    <row r="5" spans="1:19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129</v>
      </c>
      <c r="L5" s="301"/>
      <c r="M5" s="302"/>
      <c r="N5" s="310"/>
      <c r="O5" s="312"/>
      <c r="P5" s="298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95"/>
      <c r="P90" s="295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9"/>
      <c r="H91" s="289"/>
      <c r="I91" s="117"/>
      <c r="J91" s="292"/>
      <c r="K91" s="292"/>
      <c r="L91" s="292"/>
      <c r="M91" s="292"/>
      <c r="N91" s="292"/>
      <c r="O91" s="295"/>
      <c r="P91" s="295"/>
    </row>
    <row r="92" spans="3:16" ht="15.75" customHeight="1">
      <c r="C92" s="80">
        <v>42762</v>
      </c>
      <c r="D92" s="28">
        <v>8862.4</v>
      </c>
      <c r="F92" s="67"/>
      <c r="G92" s="289"/>
      <c r="H92" s="289"/>
      <c r="I92" s="117"/>
      <c r="J92" s="296"/>
      <c r="K92" s="296"/>
      <c r="L92" s="296"/>
      <c r="M92" s="296"/>
      <c r="N92" s="296"/>
      <c r="O92" s="295"/>
      <c r="P92" s="295"/>
    </row>
    <row r="93" spans="3:14" ht="15.75" customHeight="1">
      <c r="C93" s="80"/>
      <c r="F93" s="67"/>
      <c r="G93" s="291"/>
      <c r="H93" s="291"/>
      <c r="I93" s="123"/>
      <c r="J93" s="292"/>
      <c r="K93" s="292"/>
      <c r="L93" s="292"/>
      <c r="M93" s="292"/>
      <c r="N93" s="292"/>
    </row>
    <row r="94" spans="2:14" ht="18.75" customHeight="1">
      <c r="B94" s="293" t="s">
        <v>56</v>
      </c>
      <c r="C94" s="294"/>
      <c r="D94" s="132">
        <f>9505303.41/1000</f>
        <v>9505.30341</v>
      </c>
      <c r="E94" s="68"/>
      <c r="F94" s="124" t="s">
        <v>105</v>
      </c>
      <c r="G94" s="289"/>
      <c r="H94" s="289"/>
      <c r="I94" s="125"/>
      <c r="J94" s="292"/>
      <c r="K94" s="292"/>
      <c r="L94" s="292"/>
      <c r="M94" s="292"/>
      <c r="N94" s="292"/>
    </row>
    <row r="95" spans="6:13" ht="9.75" customHeight="1">
      <c r="F95" s="67"/>
      <c r="G95" s="289"/>
      <c r="H95" s="289"/>
      <c r="I95" s="67"/>
      <c r="J95" s="68"/>
      <c r="K95" s="68"/>
      <c r="L95" s="68"/>
      <c r="M95" s="68"/>
    </row>
    <row r="96" spans="2:13" ht="22.5" customHeight="1" hidden="1">
      <c r="B96" s="287" t="s">
        <v>59</v>
      </c>
      <c r="C96" s="288"/>
      <c r="D96" s="79">
        <v>0</v>
      </c>
      <c r="E96" s="50" t="s">
        <v>24</v>
      </c>
      <c r="F96" s="67"/>
      <c r="G96" s="289"/>
      <c r="H96" s="28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90"/>
      <c r="P98" s="29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2017-05-17T07:32:58Z</cp:lastPrinted>
  <dcterms:created xsi:type="dcterms:W3CDTF">2003-07-28T11:27:56Z</dcterms:created>
  <dcterms:modified xsi:type="dcterms:W3CDTF">2017-05-17T07:49:38Z</dcterms:modified>
  <cp:category/>
  <cp:version/>
  <cp:contentType/>
  <cp:contentStatus/>
</cp:coreProperties>
</file>